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M:\3. GESTÃO ATUARIAL\Previdência\3. Estudos e Outras Atividades\2026-10-27 - Simuladro IR 2026\"/>
    </mc:Choice>
  </mc:AlternateContent>
  <xr:revisionPtr revIDLastSave="0" documentId="13_ncr:1_{748EE717-4CFC-4284-80A2-34D9AEEC9BB5}" xr6:coauthVersionLast="47" xr6:coauthVersionMax="47" xr10:uidLastSave="{00000000-0000-0000-0000-000000000000}"/>
  <bookViews>
    <workbookView showSheetTabs="0" xWindow="-28920" yWindow="-1860" windowWidth="29040" windowHeight="15720" tabRatio="500" xr2:uid="{00000000-000D-0000-FFFF-FFFF00000000}"/>
  </bookViews>
  <sheets>
    <sheet name="Simulador IR" sheetId="1" r:id="rId1"/>
    <sheet name="Apoio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2" l="1"/>
  <c r="B44" i="2"/>
  <c r="D46" i="1"/>
  <c r="C6" i="1"/>
  <c r="C3" i="1"/>
  <c r="B42" i="2" l="1"/>
  <c r="B43" i="2" s="1"/>
  <c r="B41" i="2"/>
  <c r="F27" i="1" l="1"/>
  <c r="D27" i="1"/>
  <c r="C13" i="1"/>
  <c r="B49" i="2"/>
  <c r="B59" i="2" s="1"/>
  <c r="B60" i="2" s="1"/>
  <c r="B47" i="2"/>
  <c r="B46" i="2"/>
  <c r="B50" i="2" s="1"/>
  <c r="B51" i="2" s="1"/>
  <c r="B45" i="2"/>
  <c r="F25" i="1"/>
  <c r="D25" i="1"/>
  <c r="B48" i="2" l="1"/>
  <c r="D63" i="2" s="1"/>
  <c r="B61" i="2"/>
  <c r="B62" i="2" s="1"/>
  <c r="C59" i="2"/>
  <c r="D29" i="1"/>
  <c r="D31" i="1"/>
  <c r="F29" i="1"/>
  <c r="F31" i="1"/>
  <c r="C60" i="2"/>
  <c r="D35" i="1"/>
  <c r="B63" i="2"/>
  <c r="C63" i="2"/>
  <c r="B54" i="2"/>
  <c r="B53" i="2"/>
  <c r="B64" i="2" l="1"/>
  <c r="B66" i="2" s="1"/>
  <c r="B65" i="2"/>
  <c r="B55" i="2"/>
  <c r="C61" i="2"/>
  <c r="D37" i="1"/>
  <c r="D39" i="1" l="1"/>
  <c r="C62" i="2"/>
  <c r="F33" i="1"/>
  <c r="C46" i="1"/>
  <c r="D59" i="2"/>
  <c r="C65" i="2" l="1"/>
  <c r="D42" i="1" s="1"/>
  <c r="C64" i="2"/>
  <c r="D60" i="2"/>
  <c r="F35" i="1"/>
  <c r="C66" i="2"/>
  <c r="D43" i="1" s="1"/>
  <c r="D41" i="1" l="1"/>
  <c r="B56" i="2"/>
  <c r="C48" i="1" s="1"/>
  <c r="D61" i="2"/>
  <c r="F37" i="1"/>
  <c r="C47" i="1"/>
  <c r="F39" i="1" l="1"/>
  <c r="D62" i="2"/>
  <c r="D64" i="2" s="1"/>
  <c r="D65" i="2"/>
  <c r="F42" i="1" s="1"/>
  <c r="F41" i="1" l="1"/>
  <c r="D66" i="2"/>
  <c r="F43" i="1" s="1"/>
  <c r="D48" i="1" s="1"/>
</calcChain>
</file>

<file path=xl/sharedStrings.xml><?xml version="1.0" encoding="utf-8"?>
<sst xmlns="http://schemas.openxmlformats.org/spreadsheetml/2006/main" count="104" uniqueCount="96">
  <si>
    <t>Renda bruta tributável (12 salários e férias, exceto o 13º salário)</t>
  </si>
  <si>
    <t>Outras rendas tributáveis (aluguel, pensão recebida etc.)</t>
  </si>
  <si>
    <t>Contribuição ao INSS no ano, exceto a do 13º (em branco = estimativa)</t>
  </si>
  <si>
    <t>Outras deduções legais (dependentes, saúde, educação, pensão alimentícia paga)</t>
  </si>
  <si>
    <t>Contribuições regulares à Celos no ano (exceto a do 13º)</t>
  </si>
  <si>
    <t>Aportes voluntários à Celos ou PGBL já feitos ou previstos no ano</t>
  </si>
  <si>
    <t>Situação Atual</t>
  </si>
  <si>
    <t>Com novo aporte</t>
  </si>
  <si>
    <t>Rendimentos tributáveis:</t>
  </si>
  <si>
    <t>(-) INSS e outras deduções legais:</t>
  </si>
  <si>
    <t>(-) Contribuições regulares à Celos:</t>
  </si>
  <si>
    <t>(-) Aportes já feitos ou previstos:</t>
  </si>
  <si>
    <t>(-) Aporte adicional para obter o máximo de benefício fiscal:</t>
  </si>
  <si>
    <t>Base de cálculo do IR (declaração completa):</t>
  </si>
  <si>
    <t>Imposto pela tabela progressiva:</t>
  </si>
  <si>
    <t>(-) Redução da Lei 15.270/2025:</t>
  </si>
  <si>
    <t>Imposto devido (modelo mais vantajoso):</t>
  </si>
  <si>
    <t>(o simulador compara a declaração completa e a simplificada e usa a mais vantajosa)</t>
  </si>
  <si>
    <t>Economia de IR com a previdência Celos:</t>
  </si>
  <si>
    <t>1. Os resultados são apenas uma simulação, calculada com os valores que você informou. Você pode alterar os valores, em especial os aportes, para conferir outros resultados.
2. O cálculo usa a tabela anual do IR de 2026 e a redução criada pela Lei 15.270/2025 (isenção para rendimentos de até R$ 5 mil por mês). Por causa dessa redução, para rendimentos tributáveis até R$ 88.200,00 no ano a economia com a previdência pode ser menor, ou nula.
3. Benefício fiscal é a economia de IR que você tem por contribuir para a Celos, comparada à situação sem nenhuma contribuição. O simulador compara a declaração completa com a simplificada e usa a mais vantajosa; a dedução da previdência só existe na completa.
4. A dedução é limitada a 12% dos rendimentos tributáveis e exige contribuição ao INSS ou a regime próprio, exceto para aposentados e pensionistas. A contribuição sobre o 13º salário não entra neste cálculo, pois tem tributação exclusiva.
5. O IR não deixa de existir, ele é adiado: incide sobre o benefício ou o resgate, conforme o regime de tributação escolhido (progressivo ou regressivo).</t>
  </si>
  <si>
    <t>Parâmetros do IRPF - ano-calendário 2026 (declaração de 2027)</t>
  </si>
  <si>
    <t>Valores em azul são parâmetros: atualize-os a cada ano. Valores em preto são cálculos, não altere.</t>
  </si>
  <si>
    <t>Tabela progressiva anual - base de cálculo até (R$)</t>
  </si>
  <si>
    <t>Alíquota</t>
  </si>
  <si>
    <t>Parcela a deduzir (R$)</t>
  </si>
  <si>
    <t>Fonte</t>
  </si>
  <si>
    <t>Tabela mensal da Lei 15.191/2025 (vigente desde maio/2025) x 12; não alterada pela Lei 15.270/2025.</t>
  </si>
  <si>
    <t>Parcelas a deduzir calculadas por continuidade entre as faixas.</t>
  </si>
  <si>
    <t>Acima de 55.976,16</t>
  </si>
  <si>
    <t>Redução do imposto no ajuste anual (Lei 15.270/2025, art. 11-A da Lei 9.250/1995)</t>
  </si>
  <si>
    <t>Valor</t>
  </si>
  <si>
    <t>Rendimentos tributáveis até (redução integral)</t>
  </si>
  <si>
    <t>Lei 15.270/2025: redução de até R$ 2.694,15, limitada ao imposto apurado</t>
  </si>
  <si>
    <t>Redução máxima</t>
  </si>
  <si>
    <t>Rendimentos tributáveis até (redução parcial)</t>
  </si>
  <si>
    <t>Acima deste valor, sem redução</t>
  </si>
  <si>
    <t>Redução parcial: constante</t>
  </si>
  <si>
    <t>Redução = 8.429,73 - 0,095575 x rendimentos tributáveis</t>
  </si>
  <si>
    <t>Redução parcial: coeficiente</t>
  </si>
  <si>
    <t>Demais parâmetros</t>
  </si>
  <si>
    <t>Desconto simplificado: percentual dos rendimentos</t>
  </si>
  <si>
    <t>Lei 9.250/1995, art. 10</t>
  </si>
  <si>
    <t>Desconto simplificado: limite anual</t>
  </si>
  <si>
    <t>Lei 15.270/2025 (R$ 16.754,34 até 2025)</t>
  </si>
  <si>
    <t>Limite de dedução da previdência complementar (% dos rendimentos tributáveis)</t>
  </si>
  <si>
    <t>Lei 9.532/1997, art. 11</t>
  </si>
  <si>
    <t>Dedução por dependente (referência para o campo "outras deduções")</t>
  </si>
  <si>
    <t>Lei 9.250/1995, art. 8º</t>
  </si>
  <si>
    <t>Limite anual de despesas com instrução por pessoa (referência)</t>
  </si>
  <si>
    <t>INSS 2026 - empregado (usado só para estimar o INSS)</t>
  </si>
  <si>
    <t>Salário até (R$)</t>
  </si>
  <si>
    <t>Faixa 1</t>
  </si>
  <si>
    <t>Portaria Interministerial MPS/MF nº 13/2026</t>
  </si>
  <si>
    <t>Faixa 2</t>
  </si>
  <si>
    <t>Faixa 3</t>
  </si>
  <si>
    <t>Faixa 4 (teto do RGPS)</t>
  </si>
  <si>
    <t>Textos do simulador</t>
  </si>
  <si>
    <t>Ano-calendário da simulação</t>
  </si>
  <si>
    <t>Data limite para o aporte (texto exibido)</t>
  </si>
  <si>
    <t>31/12/2026</t>
  </si>
  <si>
    <t>Confirmar com a Celos o prazo operacional (o aporte precisa ser pago dentro do ano)</t>
  </si>
  <si>
    <t>Cálculos auxiliares (não alterar)</t>
  </si>
  <si>
    <t>Observação</t>
  </si>
  <si>
    <t>Rendimentos tributáveis (R)</t>
  </si>
  <si>
    <t>INSS estimado (12 meses, sobre salário/12, limitado ao teto)</t>
  </si>
  <si>
    <t>Não inclui o INSS do 13º</t>
  </si>
  <si>
    <t>INSS considerado</t>
  </si>
  <si>
    <t>Campo em branco usa a estimativa</t>
  </si>
  <si>
    <t>Outras deduções legais</t>
  </si>
  <si>
    <t>Limite de 12% para previdência</t>
  </si>
  <si>
    <t>Redução da Lei 15.270/2025 (antes do limite ao imposto)</t>
  </si>
  <si>
    <t>Depende dos rendimentos tributáveis, não da base de cálculo</t>
  </si>
  <si>
    <t>Base de cálculo na declaração simplificada</t>
  </si>
  <si>
    <t>Imposto na declaração simplificada</t>
  </si>
  <si>
    <t>Base completa antes da previdência</t>
  </si>
  <si>
    <t>Base de cálculo a partir da qual o imposto zera</t>
  </si>
  <si>
    <t>Deduzir abaixo disto não gera economia</t>
  </si>
  <si>
    <t>Dedução de previdência que gera o máximo de economia</t>
  </si>
  <si>
    <t>Contribuições já informadas (regulares + aportes)</t>
  </si>
  <si>
    <t>Aporte adicional necessário</t>
  </si>
  <si>
    <t>Imposto na completa com a dedução máxima útil</t>
  </si>
  <si>
    <t>APORTE SUGERIDO</t>
  </si>
  <si>
    <t>Zero se a simplificada continuar melhor</t>
  </si>
  <si>
    <t>Mensagem quando não há aporte sugerido</t>
  </si>
  <si>
    <t>Cenários</t>
  </si>
  <si>
    <t>Sem Celos</t>
  </si>
  <si>
    <t>Situação atual</t>
  </si>
  <si>
    <t>Com aporte sugerido</t>
  </si>
  <si>
    <t>Base de cálculo - declaração completa</t>
  </si>
  <si>
    <t>Imposto pela tabela progressiva</t>
  </si>
  <si>
    <t>Redução da Lei 15.270/2025</t>
  </si>
  <si>
    <t>Imposto - declaração completa</t>
  </si>
  <si>
    <t>Imposto - declaração simplificada</t>
  </si>
  <si>
    <t>Imposto devido (modelo mais vantajoso)</t>
  </si>
  <si>
    <t>Modelo mais vantajoso</t>
  </si>
  <si>
    <t>Economia de IR em relação a não contribuir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</si>
</sst>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\-??_-;_-@_-"/>
    <numFmt numFmtId="165" formatCode="_-&quot;R$ &quot;* #,##0.00_-;&quot;-R$ &quot;* #,##0.00_-;_-&quot;R$ &quot;* \-??_-;_-@_-"/>
    <numFmt numFmtId="166" formatCode="0.0%"/>
    <numFmt numFmtId="167" formatCode="&quot;R$&quot;\ #,##0.00"/>
    <numFmt numFmtId="168" formatCode="0.000000"/>
  </numFmts>
  <fonts count="33" x14ac:knownFonts="1">
    <font>
      <sz val="11"/>
      <color rgb="FF000000"/>
      <name val="Calibri"/>
      <family val="2"/>
      <charset val="1"/>
    </font>
    <font>
      <b/>
      <sz val="12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7.5"/>
      <color rgb="FF000000"/>
      <name val="Calibri"/>
      <family val="2"/>
      <charset val="1"/>
    </font>
    <font>
      <b/>
      <sz val="20"/>
      <color rgb="FF4A5B6C"/>
      <name val="Calibri"/>
      <family val="2"/>
      <charset val="1"/>
    </font>
    <font>
      <b/>
      <sz val="14"/>
      <color rgb="FF4A5B6C"/>
      <name val="Calibri"/>
      <family val="2"/>
      <charset val="1"/>
    </font>
    <font>
      <sz val="12"/>
      <color rgb="FF4A5B6C"/>
      <name val="Calibri"/>
      <family val="2"/>
      <charset val="1"/>
    </font>
    <font>
      <b/>
      <sz val="12"/>
      <color rgb="FF4A5B6C"/>
      <name val="Calibri"/>
      <family val="2"/>
      <charset val="1"/>
    </font>
    <font>
      <sz val="12"/>
      <color rgb="FF56697B"/>
      <name val="Calibri"/>
      <family val="2"/>
      <charset val="1"/>
    </font>
    <font>
      <b/>
      <sz val="12"/>
      <color rgb="FFEA664F"/>
      <name val="Calibri"/>
      <family val="2"/>
      <charset val="1"/>
    </font>
    <font>
      <sz val="12"/>
      <color rgb="FFEA664F"/>
      <name val="Calibri"/>
      <family val="2"/>
      <charset val="1"/>
    </font>
    <font>
      <sz val="8"/>
      <color rgb="FF4A5B6C"/>
      <name val="Calibri"/>
      <family val="2"/>
      <charset val="1"/>
    </font>
    <font>
      <sz val="7.5"/>
      <color rgb="FF56697B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24"/>
      <color rgb="FF4A5B6C"/>
      <name val="Calibri"/>
      <family val="2"/>
      <charset val="1"/>
    </font>
    <font>
      <b/>
      <sz val="20"/>
      <color rgb="FF4A5B6C"/>
      <name val="Calibri"/>
      <family val="2"/>
    </font>
    <font>
      <b/>
      <sz val="28"/>
      <color rgb="FF3363AB"/>
      <name val="Calibri"/>
      <family val="2"/>
    </font>
    <font>
      <b/>
      <sz val="10"/>
      <color rgb="FF3363AB"/>
      <name val="Calibri"/>
      <family val="2"/>
    </font>
    <font>
      <b/>
      <sz val="12"/>
      <color theme="0"/>
      <name val="Calibri"/>
      <family val="2"/>
      <charset val="1"/>
    </font>
    <font>
      <b/>
      <sz val="12"/>
      <color rgb="FF546270"/>
      <name val="Calibri"/>
      <family val="2"/>
      <charset val="1"/>
    </font>
    <font>
      <sz val="12"/>
      <color rgb="FF546270"/>
      <name val="Calibri"/>
      <family val="2"/>
      <charset val="1"/>
    </font>
    <font>
      <i/>
      <sz val="9"/>
      <color rgb="FF56697B"/>
      <name val="Calibri"/>
    </font>
    <font>
      <b/>
      <sz val="12"/>
      <color rgb="FF4A5B6C"/>
      <name val="Calibri"/>
    </font>
    <font>
      <sz val="12"/>
      <color rgb="FF4A5B6C"/>
      <name val="Calibri"/>
    </font>
    <font>
      <i/>
      <sz val="8"/>
      <color rgb="FF4A5B6C"/>
      <name val="Calibri"/>
    </font>
    <font>
      <b/>
      <sz val="14"/>
      <color rgb="FF3363AB"/>
      <name val="Arial"/>
    </font>
    <font>
      <i/>
      <sz val="8"/>
      <color rgb="FF56697B"/>
      <name val="Arial"/>
    </font>
    <font>
      <b/>
      <sz val="11"/>
      <color rgb="FFFFFFFF"/>
      <name val="Arial"/>
    </font>
    <font>
      <sz val="10"/>
      <color rgb="FF0000FF"/>
      <name val="Arial"/>
    </font>
    <font>
      <sz val="10"/>
      <name val="Arial"/>
    </font>
    <font>
      <b/>
      <sz val="10"/>
      <name val="Arial"/>
    </font>
    <font>
      <b/>
      <sz val="12"/>
      <color rgb="FF3363AB"/>
      <name val="Calibri"/>
      <family val="2"/>
    </font>
  </fonts>
  <fills count="9">
    <fill>
      <patternFill patternType="none"/>
    </fill>
    <fill>
      <patternFill patternType="gray125"/>
    </fill>
    <fill>
      <patternFill patternType="lightGrid">
        <fgColor theme="0" tint="-4.9989318521683403E-2"/>
        <bgColor indexed="65"/>
      </patternFill>
    </fill>
    <fill>
      <patternFill patternType="solid">
        <fgColor indexed="65"/>
        <bgColor theme="0"/>
      </patternFill>
    </fill>
    <fill>
      <patternFill patternType="solid">
        <fgColor theme="7" tint="0.59999389629810485"/>
        <bgColor theme="0"/>
      </patternFill>
    </fill>
    <fill>
      <patternFill patternType="solid">
        <fgColor theme="5" tint="0.79998168889431442"/>
        <bgColor theme="0"/>
      </patternFill>
    </fill>
    <fill>
      <patternFill patternType="lightGrid">
        <fgColor theme="0" tint="-4.9989318521683403E-2"/>
        <bgColor theme="0" tint="-4.9989318521683403E-2"/>
      </patternFill>
    </fill>
    <fill>
      <patternFill patternType="solid">
        <fgColor rgb="FF3363AB"/>
        <bgColor theme="0"/>
      </patternFill>
    </fill>
    <fill>
      <patternFill patternType="solid">
        <fgColor rgb="FF3363AB"/>
      </patternFill>
    </fill>
  </fills>
  <borders count="14">
    <border>
      <left/>
      <right/>
      <top/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3">
    <xf numFmtId="0" fontId="0" fillId="0" borderId="0"/>
    <xf numFmtId="164" fontId="14" fillId="0" borderId="0"/>
    <xf numFmtId="165" fontId="14" fillId="0" borderId="0"/>
  </cellStyleXfs>
  <cellXfs count="72">
    <xf numFmtId="0" fontId="0" fillId="0" borderId="0" xfId="0"/>
    <xf numFmtId="165" fontId="8" fillId="3" borderId="3" xfId="2" applyFont="1" applyFill="1" applyBorder="1"/>
    <xf numFmtId="165" fontId="10" fillId="3" borderId="3" xfId="2" applyFont="1" applyFill="1" applyBorder="1"/>
    <xf numFmtId="165" fontId="10" fillId="5" borderId="3" xfId="2" applyFont="1" applyFill="1" applyBorder="1" applyAlignment="1">
      <alignment vertical="center"/>
    </xf>
    <xf numFmtId="165" fontId="19" fillId="7" borderId="4" xfId="2" applyFont="1" applyFill="1" applyBorder="1" applyAlignment="1">
      <alignment vertical="center"/>
    </xf>
    <xf numFmtId="165" fontId="20" fillId="3" borderId="3" xfId="2" applyFont="1" applyFill="1" applyBorder="1"/>
    <xf numFmtId="164" fontId="20" fillId="5" borderId="3" xfId="1" applyFont="1" applyFill="1" applyBorder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3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9" fillId="2" borderId="0" xfId="0" applyFont="1" applyFill="1"/>
    <xf numFmtId="0" fontId="7" fillId="2" borderId="3" xfId="0" applyFont="1" applyFill="1" applyBorder="1"/>
    <xf numFmtId="0" fontId="8" fillId="3" borderId="0" xfId="0" applyFont="1" applyFill="1"/>
    <xf numFmtId="0" fontId="2" fillId="2" borderId="3" xfId="0" applyFont="1" applyFill="1" applyBorder="1"/>
    <xf numFmtId="0" fontId="20" fillId="2" borderId="0" xfId="0" applyFont="1" applyFill="1"/>
    <xf numFmtId="0" fontId="21" fillId="2" borderId="3" xfId="0" applyFont="1" applyFill="1" applyBorder="1"/>
    <xf numFmtId="0" fontId="21" fillId="2" borderId="0" xfId="0" applyFont="1" applyFill="1"/>
    <xf numFmtId="0" fontId="11" fillId="2" borderId="3" xfId="0" applyFont="1" applyFill="1" applyBorder="1"/>
    <xf numFmtId="0" fontId="11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0" xfId="0" applyFont="1" applyFill="1"/>
    <xf numFmtId="0" fontId="8" fillId="3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1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165" fontId="8" fillId="4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/>
    <xf numFmtId="0" fontId="8" fillId="5" borderId="0" xfId="0" applyFont="1" applyFill="1" applyAlignment="1">
      <alignment horizontal="left" vertical="center" wrapText="1"/>
    </xf>
    <xf numFmtId="0" fontId="23" fillId="3" borderId="0" xfId="0" applyFont="1" applyFill="1"/>
    <xf numFmtId="165" fontId="23" fillId="3" borderId="3" xfId="2" applyFont="1" applyFill="1" applyBorder="1"/>
    <xf numFmtId="0" fontId="24" fillId="3" borderId="0" xfId="0" applyFont="1" applyFill="1"/>
    <xf numFmtId="165" fontId="24" fillId="3" borderId="3" xfId="2" applyFont="1" applyFill="1" applyBorder="1"/>
    <xf numFmtId="0" fontId="12" fillId="2" borderId="0" xfId="0" applyFont="1" applyFill="1" applyAlignment="1">
      <alignment vertical="top" wrapText="1"/>
    </xf>
    <xf numFmtId="0" fontId="25" fillId="2" borderId="3" xfId="0" applyFont="1" applyFill="1" applyBorder="1" applyAlignment="1">
      <alignment horizontal="right" vertical="top" wrapText="1"/>
    </xf>
    <xf numFmtId="167" fontId="17" fillId="6" borderId="11" xfId="0" applyNumberFormat="1" applyFont="1" applyFill="1" applyBorder="1" applyAlignment="1">
      <alignment horizontal="left" vertical="center" wrapText="1"/>
    </xf>
    <xf numFmtId="0" fontId="26" fillId="0" borderId="0" xfId="0" applyFont="1"/>
    <xf numFmtId="0" fontId="27" fillId="0" borderId="0" xfId="0" applyFont="1"/>
    <xf numFmtId="0" fontId="28" fillId="8" borderId="13" xfId="0" applyFont="1" applyFill="1" applyBorder="1" applyAlignment="1">
      <alignment horizontal="center" vertical="center" wrapText="1"/>
    </xf>
    <xf numFmtId="4" fontId="29" fillId="0" borderId="13" xfId="0" applyNumberFormat="1" applyFont="1" applyBorder="1" applyAlignment="1">
      <alignment horizontal="right"/>
    </xf>
    <xf numFmtId="166" fontId="29" fillId="0" borderId="13" xfId="0" applyNumberFormat="1" applyFont="1" applyBorder="1" applyAlignment="1">
      <alignment horizontal="right"/>
    </xf>
    <xf numFmtId="0" fontId="30" fillId="0" borderId="13" xfId="0" applyFont="1" applyBorder="1"/>
    <xf numFmtId="168" fontId="29" fillId="0" borderId="13" xfId="0" applyNumberFormat="1" applyFont="1" applyBorder="1" applyAlignment="1">
      <alignment horizontal="right"/>
    </xf>
    <xf numFmtId="4" fontId="29" fillId="0" borderId="13" xfId="0" applyNumberFormat="1" applyFont="1" applyBorder="1"/>
    <xf numFmtId="166" fontId="29" fillId="0" borderId="13" xfId="0" applyNumberFormat="1" applyFont="1" applyBorder="1"/>
    <xf numFmtId="1" fontId="29" fillId="0" borderId="13" xfId="0" applyNumberFormat="1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4" fontId="30" fillId="0" borderId="13" xfId="0" applyNumberFormat="1" applyFont="1" applyBorder="1" applyAlignment="1">
      <alignment horizontal="right"/>
    </xf>
    <xf numFmtId="0" fontId="31" fillId="0" borderId="13" xfId="0" applyFont="1" applyBorder="1"/>
    <xf numFmtId="4" fontId="31" fillId="0" borderId="13" xfId="0" applyNumberFormat="1" applyFont="1" applyBorder="1" applyAlignment="1">
      <alignment horizontal="right"/>
    </xf>
    <xf numFmtId="49" fontId="30" fillId="0" borderId="13" xfId="0" applyNumberFormat="1" applyFont="1" applyBorder="1" applyAlignment="1">
      <alignment horizontal="left"/>
    </xf>
    <xf numFmtId="4" fontId="30" fillId="0" borderId="13" xfId="0" applyNumberFormat="1" applyFont="1" applyBorder="1" applyAlignment="1">
      <alignment horizontal="center"/>
    </xf>
    <xf numFmtId="0" fontId="18" fillId="6" borderId="7" xfId="0" quotePrefix="1" applyFont="1" applyFill="1" applyBorder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2" fillId="2" borderId="0" xfId="0" applyFont="1" applyFill="1"/>
    <xf numFmtId="0" fontId="0" fillId="0" borderId="12" xfId="0" applyBorder="1"/>
    <xf numFmtId="0" fontId="1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/>
    </xf>
    <xf numFmtId="0" fontId="18" fillId="6" borderId="10" xfId="0" quotePrefix="1" applyFont="1" applyFill="1" applyBorder="1" applyAlignment="1">
      <alignment horizontal="left" vertical="top" wrapText="1"/>
    </xf>
    <xf numFmtId="0" fontId="0" fillId="0" borderId="9" xfId="0" applyBorder="1"/>
    <xf numFmtId="0" fontId="0" fillId="0" borderId="10" xfId="0" applyBorder="1"/>
    <xf numFmtId="0" fontId="13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center" vertical="center" wrapText="1"/>
    </xf>
    <xf numFmtId="0" fontId="32" fillId="6" borderId="8" xfId="0" applyFont="1" applyFill="1" applyBorder="1" applyAlignment="1">
      <alignment vertical="top" wrapText="1"/>
    </xf>
    <xf numFmtId="0" fontId="32" fillId="6" borderId="5" xfId="0" applyFont="1" applyFill="1" applyBorder="1" applyAlignment="1">
      <alignment wrapText="1"/>
    </xf>
  </cellXfs>
  <cellStyles count="3">
    <cellStyle name="Moeda" xfId="2" builtinId="4"/>
    <cellStyle name="Normal" xfId="0" builtinId="0"/>
    <cellStyle name="Vírgula" xfId="1" builtinId="3"/>
  </cellStyles>
  <dxfs count="10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6228"/>
      <rgbColor rgb="FF800080"/>
      <rgbColor rgb="FF008080"/>
      <rgbColor rgb="FFBFBFBF"/>
      <rgbColor rgb="FF4A5B6C"/>
      <rgbColor rgb="FF9999FF"/>
      <rgbColor rgb="FF993366"/>
      <rgbColor rgb="FFEEECE1"/>
      <rgbColor rgb="FFDBEEF4"/>
      <rgbColor rgb="FF660066"/>
      <rgbColor rgb="FFEA664F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CBD869"/>
      <rgbColor rgb="FF3366FF"/>
      <rgbColor rgb="FF33CCCC"/>
      <rgbColor rgb="FF99CC00"/>
      <rgbColor rgb="FFFFCC00"/>
      <rgbColor rgb="FFFF9900"/>
      <rgbColor rgb="FFFF6600"/>
      <rgbColor rgb="FF56697B"/>
      <rgbColor rgb="FF969696"/>
      <rgbColor rgb="FF002060"/>
      <rgbColor rgb="FF339966"/>
      <rgbColor rgb="FF003300"/>
      <rgbColor rgb="FF515151"/>
      <rgbColor rgb="FF993300"/>
      <rgbColor rgb="FF993366"/>
      <rgbColor rgb="FF1F497D"/>
      <rgbColor rgb="FF231F2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19080</xdr:colOff>
      <xdr:row>4</xdr:row>
      <xdr:rowOff>19080</xdr:rowOff>
    </xdr:from>
    <xdr:to>
      <xdr:col>6</xdr:col>
      <xdr:colOff>85320</xdr:colOff>
      <xdr:row>19</xdr:row>
      <xdr:rowOff>85320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83640" y="1904760"/>
          <a:ext cx="6920640" cy="3219120"/>
        </a:xfrm>
        <a:prstGeom prst="roundRect">
          <a:avLst>
            <a:gd name="adj" fmla="val 4880"/>
          </a:avLst>
        </a:prstGeom>
        <a:noFill/>
        <a:ln w="19050">
          <a:solidFill>
            <a:srgbClr val="5CBBA2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</xdr:col>
      <xdr:colOff>19080</xdr:colOff>
      <xdr:row>21</xdr:row>
      <xdr:rowOff>0</xdr:rowOff>
    </xdr:from>
    <xdr:to>
      <xdr:col>6</xdr:col>
      <xdr:colOff>85320</xdr:colOff>
      <xdr:row>43</xdr:row>
      <xdr:rowOff>84240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83640" y="5229000"/>
          <a:ext cx="6920640" cy="2713320"/>
        </a:xfrm>
        <a:prstGeom prst="roundRect">
          <a:avLst>
            <a:gd name="adj" fmla="val 5403"/>
          </a:avLst>
        </a:prstGeom>
        <a:noFill/>
        <a:ln w="19050">
          <a:solidFill>
            <a:srgbClr val="56697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0</xdr:col>
      <xdr:colOff>1019174</xdr:colOff>
      <xdr:row>1</xdr:row>
      <xdr:rowOff>123840</xdr:rowOff>
    </xdr:from>
    <xdr:to>
      <xdr:col>7</xdr:col>
      <xdr:colOff>90554</xdr:colOff>
      <xdr:row>56</xdr:row>
      <xdr:rowOff>9360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019174" y="390540"/>
          <a:ext cx="6758055" cy="8353245"/>
        </a:xfrm>
        <a:prstGeom prst="roundRect">
          <a:avLst>
            <a:gd name="adj" fmla="val 2710"/>
          </a:avLst>
        </a:prstGeom>
        <a:noFill/>
        <a:ln w="28575">
          <a:solidFill>
            <a:srgbClr val="5CBBA2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1</xdr:col>
      <xdr:colOff>87922</xdr:colOff>
      <xdr:row>1</xdr:row>
      <xdr:rowOff>80594</xdr:rowOff>
    </xdr:from>
    <xdr:to>
      <xdr:col>2</xdr:col>
      <xdr:colOff>2506430</xdr:colOff>
      <xdr:row>2</xdr:row>
      <xdr:rowOff>95248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0CA9CC0-28CE-F7DA-2681-BDAD6303DA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27" t="29091" r="9630" b="33182"/>
        <a:stretch/>
      </xdr:blipFill>
      <xdr:spPr>
        <a:xfrm>
          <a:off x="718037" y="776652"/>
          <a:ext cx="2513758" cy="827943"/>
        </a:xfrm>
        <a:prstGeom prst="rect">
          <a:avLst/>
        </a:prstGeom>
      </xdr:spPr>
    </xdr:pic>
    <xdr:clientData/>
  </xdr:twoCellAnchor>
  <xdr:twoCellAnchor>
    <xdr:from>
      <xdr:col>2</xdr:col>
      <xdr:colOff>3326423</xdr:colOff>
      <xdr:row>45</xdr:row>
      <xdr:rowOff>105509</xdr:rowOff>
    </xdr:from>
    <xdr:to>
      <xdr:col>2</xdr:col>
      <xdr:colOff>3341076</xdr:colOff>
      <xdr:row>47</xdr:row>
      <xdr:rowOff>574431</xdr:rowOff>
    </xdr:to>
    <xdr:cxnSp macro="">
      <xdr:nvCxnSpPr>
        <xdr:cNvPr id="3" name="Conector reto 2">
          <a:extLst>
            <a:ext uri="{FF2B5EF4-FFF2-40B4-BE49-F238E27FC236}">
              <a16:creationId xmlns:a16="http://schemas.microsoft.com/office/drawing/2014/main" id="{07A2DF98-648D-4824-0303-B700CD6D8E05}"/>
            </a:ext>
          </a:extLst>
        </xdr:cNvPr>
        <xdr:cNvCxnSpPr/>
      </xdr:nvCxnSpPr>
      <xdr:spPr>
        <a:xfrm flipH="1">
          <a:off x="4536098" y="9211409"/>
          <a:ext cx="14653" cy="1183297"/>
        </a:xfrm>
        <a:prstGeom prst="line">
          <a:avLst/>
        </a:prstGeom>
        <a:ln>
          <a:solidFill>
            <a:srgbClr val="3363AB">
              <a:alpha val="38000"/>
            </a:srgbClr>
          </a:solidFill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1:AMJ69"/>
  <sheetViews>
    <sheetView showGridLines="0" showRowColHeaders="0" tabSelected="1" zoomScaleNormal="100" workbookViewId="0">
      <selection activeCell="F8" sqref="F8"/>
    </sheetView>
  </sheetViews>
  <sheetFormatPr defaultColWidth="0" defaultRowHeight="15.75" zeroHeight="1" x14ac:dyDescent="0.25"/>
  <cols>
    <col min="1" max="1" width="16.7109375" style="7" customWidth="1"/>
    <col min="2" max="2" width="1.42578125" style="7" customWidth="1"/>
    <col min="3" max="3" width="51.28515625" style="7" customWidth="1"/>
    <col min="4" max="4" width="21.42578125" style="7" customWidth="1"/>
    <col min="5" max="5" width="1.5703125" style="7" customWidth="1"/>
    <col min="6" max="6" width="21.42578125" style="7" customWidth="1"/>
    <col min="7" max="8" width="1.42578125" style="7" customWidth="1"/>
    <col min="9" max="9" width="15.140625" style="7" customWidth="1"/>
    <col min="10" max="10" width="14.7109375" style="7" hidden="1" customWidth="1"/>
    <col min="11" max="11" width="9.140625" style="7" hidden="1" customWidth="1"/>
    <col min="12" max="12" width="10.5703125" style="7" hidden="1" customWidth="1"/>
    <col min="13" max="13" width="10.7109375" style="7" hidden="1" customWidth="1"/>
    <col min="14" max="1024" width="0" style="7" hidden="1"/>
    <col min="1025" max="16384" width="9.140625" style="8" hidden="1" customWidth="1"/>
  </cols>
  <sheetData>
    <row r="1" spans="3:15" ht="27" customHeight="1" x14ac:dyDescent="0.25"/>
    <row r="2" spans="3:15" ht="63.75" customHeight="1" x14ac:dyDescent="0.25">
      <c r="C2" s="69"/>
      <c r="D2" s="61"/>
      <c r="E2" s="61"/>
      <c r="F2" s="61"/>
    </row>
    <row r="3" spans="3:15" ht="36.75" customHeight="1" x14ac:dyDescent="0.25">
      <c r="C3" s="63" t="str">
        <f>"SIMULADOR CELOS"&amp;CHAR(10)&amp;"Benefício Fiscal no Imposto de Renda (IRPF) - "&amp;Apoio!$B$35</f>
        <v>SIMULADOR CELOS
Benefício Fiscal no Imposto de Renda (IRPF) - 2026</v>
      </c>
      <c r="D3" s="61"/>
      <c r="E3" s="61"/>
      <c r="F3" s="61"/>
      <c r="J3" s="9"/>
      <c r="L3" s="10"/>
      <c r="M3" s="10"/>
      <c r="N3" s="10"/>
      <c r="O3" s="10"/>
    </row>
    <row r="4" spans="3:15" ht="32.25" customHeight="1" x14ac:dyDescent="0.25">
      <c r="C4" s="61"/>
      <c r="D4" s="61"/>
      <c r="E4" s="61"/>
      <c r="F4" s="61"/>
      <c r="L4" s="10"/>
      <c r="M4" s="10"/>
      <c r="N4" s="10"/>
      <c r="O4" s="10"/>
    </row>
    <row r="5" spans="3:15" ht="7.5" customHeight="1" x14ac:dyDescent="0.25"/>
    <row r="6" spans="3:15" ht="18.75" customHeight="1" x14ac:dyDescent="0.3">
      <c r="C6" s="64" t="str">
        <f>"Informações para Simulação - Dados Anuais de "&amp;Apoio!$B$35</f>
        <v>Informações para Simulação - Dados Anuais de 2026</v>
      </c>
      <c r="D6" s="61"/>
      <c r="E6" s="61"/>
      <c r="F6" s="61"/>
    </row>
    <row r="7" spans="3:15" ht="4.5" customHeight="1" x14ac:dyDescent="0.25">
      <c r="C7" s="12"/>
      <c r="D7" s="12"/>
      <c r="E7" s="12"/>
      <c r="F7" s="12"/>
    </row>
    <row r="8" spans="3:15" ht="33" customHeight="1" x14ac:dyDescent="0.25">
      <c r="C8" s="31" t="s">
        <v>0</v>
      </c>
      <c r="D8" s="13"/>
      <c r="E8" s="13"/>
      <c r="F8" s="32">
        <v>0</v>
      </c>
    </row>
    <row r="9" spans="3:15" ht="5.25" customHeight="1" x14ac:dyDescent="0.25">
      <c r="C9" s="13"/>
      <c r="D9" s="13"/>
      <c r="E9" s="13"/>
      <c r="F9" s="13"/>
    </row>
    <row r="10" spans="3:15" ht="33" customHeight="1" x14ac:dyDescent="0.25">
      <c r="C10" s="31" t="s">
        <v>1</v>
      </c>
      <c r="D10" s="13"/>
      <c r="E10" s="13"/>
      <c r="F10" s="32">
        <v>0</v>
      </c>
    </row>
    <row r="11" spans="3:15" ht="5.25" customHeight="1" x14ac:dyDescent="0.25">
      <c r="C11" s="13"/>
      <c r="D11" s="13"/>
      <c r="E11" s="13"/>
      <c r="F11" s="13"/>
    </row>
    <row r="12" spans="3:15" ht="33" customHeight="1" x14ac:dyDescent="0.25">
      <c r="C12" s="31" t="s">
        <v>2</v>
      </c>
      <c r="D12" s="13"/>
      <c r="E12" s="13"/>
      <c r="F12" s="32"/>
    </row>
    <row r="13" spans="3:15" ht="12.95" customHeight="1" x14ac:dyDescent="0.25">
      <c r="C13" s="33" t="str">
        <f>IF(ISBLANK($F$12),"   INSS estimado: R$ "&amp;FIXED(Apoio!$B$43,2)&amp;". Aposentado pelo INSS: informe 0.","   Aposentado pelo INSS: informe 0.")</f>
        <v xml:space="preserve">   INSS estimado: R$ 0,00. Aposentado pelo INSS: informe 0.</v>
      </c>
      <c r="D13" s="13"/>
      <c r="E13" s="13"/>
      <c r="F13" s="13"/>
    </row>
    <row r="14" spans="3:15" ht="33" customHeight="1" x14ac:dyDescent="0.25">
      <c r="C14" s="31" t="s">
        <v>3</v>
      </c>
      <c r="D14" s="13"/>
      <c r="E14" s="13"/>
      <c r="F14" s="32">
        <v>0</v>
      </c>
    </row>
    <row r="15" spans="3:15" ht="5.25" customHeight="1" x14ac:dyDescent="0.25">
      <c r="C15" s="13"/>
      <c r="D15" s="13"/>
      <c r="E15" s="13"/>
      <c r="F15" s="13"/>
    </row>
    <row r="16" spans="3:15" ht="33" customHeight="1" x14ac:dyDescent="0.25">
      <c r="C16" s="31" t="s">
        <v>4</v>
      </c>
      <c r="D16" s="13"/>
      <c r="E16" s="13"/>
      <c r="F16" s="32">
        <v>0</v>
      </c>
    </row>
    <row r="17" spans="3:6" ht="5.25" customHeight="1" x14ac:dyDescent="0.25">
      <c r="C17" s="13"/>
      <c r="D17" s="13"/>
      <c r="E17" s="13"/>
      <c r="F17" s="13"/>
    </row>
    <row r="18" spans="3:6" ht="33" customHeight="1" x14ac:dyDescent="0.25">
      <c r="C18" s="31" t="s">
        <v>5</v>
      </c>
      <c r="D18" s="13"/>
      <c r="E18" s="13"/>
      <c r="F18" s="32">
        <v>0</v>
      </c>
    </row>
    <row r="19" spans="3:6" ht="5.25" customHeight="1" x14ac:dyDescent="0.25"/>
    <row r="20" spans="3:6" ht="5.25" customHeight="1" x14ac:dyDescent="0.25"/>
    <row r="21" spans="3:6" ht="7.5" customHeight="1" x14ac:dyDescent="0.25"/>
    <row r="22" spans="3:6" ht="7.5" customHeight="1" x14ac:dyDescent="0.25"/>
    <row r="23" spans="3:6" ht="15.75" customHeight="1" x14ac:dyDescent="0.3">
      <c r="C23" s="14"/>
      <c r="D23" s="15" t="s">
        <v>6</v>
      </c>
      <c r="E23" s="11"/>
      <c r="F23" s="15" t="s">
        <v>7</v>
      </c>
    </row>
    <row r="24" spans="3:6" ht="4.5" customHeight="1" x14ac:dyDescent="0.25">
      <c r="C24" s="16"/>
      <c r="D24" s="17"/>
      <c r="E24" s="12"/>
      <c r="F24" s="17"/>
    </row>
    <row r="25" spans="3:6" x14ac:dyDescent="0.25">
      <c r="C25" s="18" t="s">
        <v>8</v>
      </c>
      <c r="D25" s="1">
        <f>Apoio!$B$41</f>
        <v>0</v>
      </c>
      <c r="E25" s="13"/>
      <c r="F25" s="1">
        <f>Apoio!$B$41</f>
        <v>0</v>
      </c>
    </row>
    <row r="26" spans="3:6" ht="4.5" customHeight="1" x14ac:dyDescent="0.25">
      <c r="C26" s="12"/>
      <c r="D26" s="19"/>
      <c r="F26" s="19"/>
    </row>
    <row r="27" spans="3:6" x14ac:dyDescent="0.25">
      <c r="C27" s="18" t="s">
        <v>9</v>
      </c>
      <c r="D27" s="5">
        <f>-(Apoio!$B$43+Apoio!$B$44)</f>
        <v>0</v>
      </c>
      <c r="E27" s="20"/>
      <c r="F27" s="5">
        <f>-(Apoio!$B$43+Apoio!$B$44)</f>
        <v>0</v>
      </c>
    </row>
    <row r="28" spans="3:6" ht="4.5" customHeight="1" x14ac:dyDescent="0.25">
      <c r="C28" s="12"/>
      <c r="D28" s="21"/>
      <c r="E28" s="22"/>
      <c r="F28" s="21"/>
    </row>
    <row r="29" spans="3:6" x14ac:dyDescent="0.25">
      <c r="C29" s="18" t="s">
        <v>10</v>
      </c>
      <c r="D29" s="5">
        <f>-MIN(Apoio!$B$45,$F$16)</f>
        <v>0</v>
      </c>
      <c r="E29" s="20"/>
      <c r="F29" s="5">
        <f>-MIN(Apoio!$B$45,$F$16)</f>
        <v>0</v>
      </c>
    </row>
    <row r="30" spans="3:6" ht="4.5" customHeight="1" x14ac:dyDescent="0.25">
      <c r="C30" s="12"/>
      <c r="D30" s="21"/>
      <c r="E30" s="22"/>
      <c r="F30" s="21"/>
    </row>
    <row r="31" spans="3:6" x14ac:dyDescent="0.25">
      <c r="C31" s="18" t="s">
        <v>11</v>
      </c>
      <c r="D31" s="5">
        <f>-MIN(Apoio!$B$45-MIN(Apoio!$B$45,$F$16),$F$18)</f>
        <v>0</v>
      </c>
      <c r="E31" s="20"/>
      <c r="F31" s="5">
        <f>-MIN(Apoio!$B$45-MIN(Apoio!$B$45,$F$16),$F$18)</f>
        <v>0</v>
      </c>
    </row>
    <row r="32" spans="3:6" ht="4.5" customHeight="1" x14ac:dyDescent="0.25">
      <c r="C32" s="12"/>
      <c r="D32" s="23"/>
      <c r="E32" s="24"/>
      <c r="F32" s="23"/>
    </row>
    <row r="33" spans="2:7" ht="31.5" customHeight="1" x14ac:dyDescent="0.25">
      <c r="C33" s="34" t="s">
        <v>12</v>
      </c>
      <c r="D33" s="6">
        <v>0</v>
      </c>
      <c r="E33" s="25"/>
      <c r="F33" s="3">
        <f>-Apoio!$B$55</f>
        <v>0</v>
      </c>
    </row>
    <row r="34" spans="2:7" ht="4.5" customHeight="1" x14ac:dyDescent="0.25">
      <c r="C34" s="12"/>
      <c r="D34" s="19"/>
      <c r="F34" s="19"/>
    </row>
    <row r="35" spans="2:7" x14ac:dyDescent="0.25">
      <c r="C35" s="35" t="s">
        <v>13</v>
      </c>
      <c r="D35" s="36">
        <f>Apoio!C59</f>
        <v>0</v>
      </c>
      <c r="E35" s="13"/>
      <c r="F35" s="36">
        <f>Apoio!D59</f>
        <v>0</v>
      </c>
    </row>
    <row r="36" spans="2:7" ht="4.5" customHeight="1" x14ac:dyDescent="0.25">
      <c r="C36" s="12"/>
      <c r="D36" s="17"/>
      <c r="E36" s="12"/>
      <c r="F36" s="17"/>
    </row>
    <row r="37" spans="2:7" x14ac:dyDescent="0.25">
      <c r="C37" s="37" t="s">
        <v>14</v>
      </c>
      <c r="D37" s="38">
        <f>Apoio!C60</f>
        <v>0</v>
      </c>
      <c r="E37" s="13"/>
      <c r="F37" s="38">
        <f>Apoio!D60</f>
        <v>0</v>
      </c>
    </row>
    <row r="38" spans="2:7" ht="4.5" customHeight="1" x14ac:dyDescent="0.25">
      <c r="C38" s="12"/>
      <c r="D38" s="17"/>
      <c r="E38" s="12"/>
      <c r="F38" s="17"/>
    </row>
    <row r="39" spans="2:7" x14ac:dyDescent="0.25">
      <c r="C39" s="18" t="s">
        <v>15</v>
      </c>
      <c r="D39" s="5">
        <f>-Apoio!C61</f>
        <v>0</v>
      </c>
      <c r="E39" s="20"/>
      <c r="F39" s="5">
        <f>-Apoio!D61</f>
        <v>0</v>
      </c>
    </row>
    <row r="40" spans="2:7" ht="4.5" customHeight="1" x14ac:dyDescent="0.25">
      <c r="C40" s="12"/>
      <c r="D40" s="17"/>
      <c r="E40" s="12"/>
      <c r="F40" s="17"/>
    </row>
    <row r="41" spans="2:7" x14ac:dyDescent="0.25">
      <c r="C41" s="18" t="s">
        <v>16</v>
      </c>
      <c r="D41" s="2">
        <f>Apoio!C64</f>
        <v>0</v>
      </c>
      <c r="E41" s="26"/>
      <c r="F41" s="2">
        <f>Apoio!D64</f>
        <v>0</v>
      </c>
    </row>
    <row r="42" spans="2:7" ht="21.95" customHeight="1" x14ac:dyDescent="0.25">
      <c r="C42" s="39" t="s">
        <v>17</v>
      </c>
      <c r="D42" s="40" t="str">
        <f>Apoio!C65</f>
        <v>Sem imposto nos dois modelos</v>
      </c>
      <c r="F42" s="40" t="str">
        <f>Apoio!D65</f>
        <v>Sem imposto nos dois modelos</v>
      </c>
    </row>
    <row r="43" spans="2:7" ht="15.75" customHeight="1" x14ac:dyDescent="0.25">
      <c r="C43" s="27" t="s">
        <v>18</v>
      </c>
      <c r="D43" s="4">
        <f>Apoio!C66</f>
        <v>0</v>
      </c>
      <c r="E43" s="28"/>
      <c r="F43" s="4">
        <f>Apoio!D66</f>
        <v>0</v>
      </c>
    </row>
    <row r="44" spans="2:7" ht="7.5" customHeight="1" x14ac:dyDescent="0.25"/>
    <row r="45" spans="2:7" ht="10.5" customHeight="1" x14ac:dyDescent="0.25">
      <c r="B45" s="8"/>
      <c r="C45" s="29"/>
      <c r="D45" s="29"/>
      <c r="E45" s="29"/>
      <c r="F45" s="29"/>
      <c r="G45" s="30"/>
    </row>
    <row r="46" spans="2:7" ht="18" customHeight="1" x14ac:dyDescent="0.25">
      <c r="B46" s="8"/>
      <c r="C46" s="71" t="str">
        <f>IF(Apoio!$B$55&gt;0,"Sugerimos um aporte adicional de","Sua economia de IR com a Celos é de")</f>
        <v>Sua economia de IR com a Celos é de</v>
      </c>
      <c r="D46" s="58" t="str">
        <f>"- Garanta sua dedução no Imposto de Renda! Faça seu aporte até "&amp;Apoio!$C$36&amp;", invista no seu futuro e pague menos imposto."</f>
        <v>- Garanta sua dedução no Imposto de Renda! Faça seu aporte até 31/12/2026, invista no seu futuro e pague menos imposto.</v>
      </c>
      <c r="E46" s="59"/>
      <c r="F46" s="60"/>
      <c r="G46" s="30"/>
    </row>
    <row r="47" spans="2:7" ht="38.25" customHeight="1" x14ac:dyDescent="0.25">
      <c r="B47" s="8"/>
      <c r="C47" s="41">
        <f>IF(Apoio!$B$55&gt;0,Apoio!$B$55,$D$43)</f>
        <v>0</v>
      </c>
      <c r="D47" s="61"/>
      <c r="E47" s="61"/>
      <c r="F47" s="62"/>
      <c r="G47" s="30"/>
    </row>
    <row r="48" spans="2:7" ht="80.099999999999994" customHeight="1" x14ac:dyDescent="0.25">
      <c r="B48" s="29"/>
      <c r="C48" s="70" t="str">
        <f>IF(Apoio!$B$55&gt;0,"para aproveitar 100% do benefício fiscal e reduzir seu Imposto de Renda.",IF(Apoio!$B$56&lt;&gt;"",Apoio!$B$56,"Você já aproveita 100% do benefício fiscal."))</f>
        <v>Seu imposto já está zerado, então novos aportes não reduzem seu IR. Eles continuam valendo para formar sua reserva.</v>
      </c>
      <c r="D48" s="65" t="str">
        <f>IF(Apoio!$B$55=0,"",IF($D$43&gt;0,"- Hoje suas contribuições já reduzem seu IR em R$ "&amp;FIXED($D$43,2)&amp;". Com este aporte, a economia passa para R$ "&amp;FIXED($F$43,2)&amp;", um ganho adicional de R$ "&amp;FIXED($F$43-$D$43,2)&amp;" no imposto a pagar ou na restituição da declaração de "&amp;(Apoio!$B$35+1)&amp;".",IF(Apoio!$C$63&lt;Apoio!$C$62,"- Hoje a declaração simplificada é mais vantajosa para você, por isso suas contribuições ainda não reduzem o IR. Com este aporte, a declaração completa passa a compensar e você economiza R$ "&amp;FIXED($F$43,2)&amp;" no imposto a pagar ou na restituição da declaração de "&amp;(Apoio!$B$35+1)&amp;".","- Com este aporte, você economiza R$ "&amp;FIXED($F$43,2)&amp;" no imposto a pagar ou na restituição da declaração de "&amp;(Apoio!$B$35+1)&amp;".")))</f>
        <v/>
      </c>
      <c r="E48" s="66"/>
      <c r="F48" s="67"/>
      <c r="G48" s="30"/>
    </row>
    <row r="49" spans="2:7" ht="3.95" customHeight="1" x14ac:dyDescent="0.25">
      <c r="B49" s="68" t="s">
        <v>19</v>
      </c>
      <c r="C49" s="61"/>
      <c r="D49" s="61"/>
      <c r="E49" s="61"/>
      <c r="F49" s="61"/>
      <c r="G49" s="61"/>
    </row>
    <row r="50" spans="2:7" ht="17.100000000000001" customHeight="1" x14ac:dyDescent="0.25">
      <c r="B50" s="61"/>
      <c r="C50" s="61"/>
      <c r="D50" s="61"/>
      <c r="E50" s="61"/>
      <c r="F50" s="61"/>
      <c r="G50" s="61"/>
    </row>
    <row r="51" spans="2:7" ht="17.100000000000001" customHeight="1" x14ac:dyDescent="0.25">
      <c r="B51" s="61"/>
      <c r="C51" s="61"/>
      <c r="D51" s="61"/>
      <c r="E51" s="61"/>
      <c r="F51" s="61"/>
      <c r="G51" s="61"/>
    </row>
    <row r="52" spans="2:7" ht="17.100000000000001" customHeight="1" x14ac:dyDescent="0.25">
      <c r="B52" s="61"/>
      <c r="C52" s="61"/>
      <c r="D52" s="61"/>
      <c r="E52" s="61"/>
      <c r="F52" s="61"/>
      <c r="G52" s="61"/>
    </row>
    <row r="53" spans="2:7" ht="17.100000000000001" customHeight="1" x14ac:dyDescent="0.25">
      <c r="B53" s="61"/>
      <c r="C53" s="61"/>
      <c r="D53" s="61"/>
      <c r="E53" s="61"/>
      <c r="F53" s="61"/>
      <c r="G53" s="61"/>
    </row>
    <row r="54" spans="2:7" ht="17.100000000000001" customHeight="1" x14ac:dyDescent="0.25">
      <c r="B54" s="61"/>
      <c r="C54" s="61"/>
      <c r="D54" s="61"/>
      <c r="E54" s="61"/>
      <c r="F54" s="61"/>
      <c r="G54" s="61"/>
    </row>
    <row r="55" spans="2:7" ht="17.100000000000001" customHeight="1" x14ac:dyDescent="0.25">
      <c r="B55" s="61"/>
      <c r="C55" s="61"/>
      <c r="D55" s="61"/>
      <c r="E55" s="61"/>
      <c r="F55" s="61"/>
      <c r="G55" s="61"/>
    </row>
    <row r="56" spans="2:7" ht="6" customHeight="1" x14ac:dyDescent="0.25">
      <c r="B56" s="61"/>
      <c r="C56" s="61"/>
      <c r="D56" s="61"/>
      <c r="E56" s="61"/>
      <c r="F56" s="61"/>
      <c r="G56" s="61"/>
    </row>
    <row r="57" spans="2:7" x14ac:dyDescent="0.25">
      <c r="B57" s="30"/>
      <c r="C57" s="30"/>
      <c r="D57" s="30"/>
      <c r="E57" s="30"/>
      <c r="F57" s="30"/>
      <c r="G57" s="30"/>
    </row>
    <row r="58" spans="2:7" x14ac:dyDescent="0.25"/>
    <row r="59" spans="2:7" x14ac:dyDescent="0.25"/>
    <row r="60" spans="2:7" x14ac:dyDescent="0.25"/>
    <row r="61" spans="2:7" x14ac:dyDescent="0.25"/>
    <row r="62" spans="2:7" x14ac:dyDescent="0.25"/>
    <row r="63" spans="2:7" x14ac:dyDescent="0.25"/>
    <row r="64" spans="2:7" x14ac:dyDescent="0.25"/>
    <row r="65" x14ac:dyDescent="0.25"/>
    <row r="66" x14ac:dyDescent="0.25"/>
    <row r="67" x14ac:dyDescent="0.25"/>
    <row r="68" x14ac:dyDescent="0.25"/>
    <row r="69" x14ac:dyDescent="0.25"/>
  </sheetData>
  <sheetProtection algorithmName="SHA-512" hashValue="gjjwYZrqvJtzqvTXCEZEaK4JlmegHscn7/Y0TcUAomKkywFS+ROFVVAz5fI7q1FFZbjTotdDIczm62daI8jGww==" saltValue="7ucc6Vako/ucU+S8U8NcOQ==" spinCount="100000" sheet="1" objects="1" scenarios="1" selectLockedCells="1"/>
  <mergeCells count="6">
    <mergeCell ref="C2:F2"/>
    <mergeCell ref="D46:F47"/>
    <mergeCell ref="C3:F4"/>
    <mergeCell ref="C6:F6"/>
    <mergeCell ref="D48:F48"/>
    <mergeCell ref="B49:G56"/>
  </mergeCells>
  <conditionalFormatting sqref="F8">
    <cfRule type="expression" dxfId="9" priority="22" stopIfTrue="1">
      <formula>F8=""</formula>
    </cfRule>
    <cfRule type="expression" dxfId="8" priority="23" stopIfTrue="1">
      <formula>F8=0</formula>
    </cfRule>
  </conditionalFormatting>
  <conditionalFormatting sqref="F10">
    <cfRule type="expression" dxfId="7" priority="20" stopIfTrue="1">
      <formula>F10=""</formula>
    </cfRule>
    <cfRule type="expression" dxfId="6" priority="21" stopIfTrue="1">
      <formula>F10=0</formula>
    </cfRule>
  </conditionalFormatting>
  <conditionalFormatting sqref="F14">
    <cfRule type="expression" dxfId="5" priority="1" stopIfTrue="1">
      <formula>F14=""</formula>
    </cfRule>
    <cfRule type="expression" dxfId="4" priority="2" stopIfTrue="1">
      <formula>F14=0</formula>
    </cfRule>
  </conditionalFormatting>
  <conditionalFormatting sqref="F16">
    <cfRule type="expression" dxfId="3" priority="6" stopIfTrue="1">
      <formula>F16=""</formula>
    </cfRule>
    <cfRule type="expression" dxfId="2" priority="7" stopIfTrue="1">
      <formula>F16=0</formula>
    </cfRule>
  </conditionalFormatting>
  <conditionalFormatting sqref="F18">
    <cfRule type="expression" dxfId="1" priority="24" stopIfTrue="1">
      <formula>F18=""</formula>
    </cfRule>
    <cfRule type="expression" dxfId="0" priority="24" stopIfTrue="1">
      <formula>F18=0</formula>
    </cfRule>
  </conditionalFormatting>
  <dataValidations count="1">
    <dataValidation type="decimal" operator="greaterThanOrEqual" allowBlank="1" errorTitle="Valor inválido" error="Informe um valor maior ou igual a zero." sqref="F8 F10 F12 F14 F16 F18" xr:uid="{00000000-0002-0000-0000-000000000000}">
      <formula1>0</formula1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1"/>
  <dimension ref="A1:E66"/>
  <sheetViews>
    <sheetView showGridLines="0" workbookViewId="0"/>
  </sheetViews>
  <sheetFormatPr defaultRowHeight="15" x14ac:dyDescent="0.25"/>
  <cols>
    <col min="1" max="1" width="58" customWidth="1"/>
    <col min="2" max="4" width="16" customWidth="1"/>
    <col min="5" max="5" width="70" customWidth="1"/>
  </cols>
  <sheetData>
    <row r="1" spans="1:5" ht="18" x14ac:dyDescent="0.25">
      <c r="A1" s="42" t="s">
        <v>20</v>
      </c>
    </row>
    <row r="2" spans="1:5" x14ac:dyDescent="0.25">
      <c r="A2" s="43" t="s">
        <v>21</v>
      </c>
    </row>
    <row r="3" spans="1:5" ht="30" x14ac:dyDescent="0.25">
      <c r="A3" s="44" t="s">
        <v>22</v>
      </c>
      <c r="B3" s="44" t="s">
        <v>23</v>
      </c>
      <c r="C3" s="44" t="s">
        <v>24</v>
      </c>
      <c r="D3" s="44"/>
      <c r="E3" s="44" t="s">
        <v>25</v>
      </c>
    </row>
    <row r="4" spans="1:5" x14ac:dyDescent="0.25">
      <c r="A4" s="45">
        <v>29145.599999999999</v>
      </c>
      <c r="B4" s="46">
        <v>0</v>
      </c>
      <c r="C4" s="45">
        <v>0</v>
      </c>
      <c r="E4" s="43" t="s">
        <v>26</v>
      </c>
    </row>
    <row r="5" spans="1:5" x14ac:dyDescent="0.25">
      <c r="A5" s="45">
        <v>33919.800000000003</v>
      </c>
      <c r="B5" s="46">
        <v>7.4999999999999997E-2</v>
      </c>
      <c r="C5" s="45">
        <v>2185.92</v>
      </c>
      <c r="E5" s="43" t="s">
        <v>27</v>
      </c>
    </row>
    <row r="6" spans="1:5" x14ac:dyDescent="0.25">
      <c r="A6" s="45">
        <v>45012.6</v>
      </c>
      <c r="B6" s="46">
        <v>0.15</v>
      </c>
      <c r="C6" s="45">
        <v>4729.91</v>
      </c>
    </row>
    <row r="7" spans="1:5" x14ac:dyDescent="0.25">
      <c r="A7" s="45">
        <v>55976.160000000003</v>
      </c>
      <c r="B7" s="46">
        <v>0.22500000000000001</v>
      </c>
      <c r="C7" s="45">
        <v>8105.85</v>
      </c>
    </row>
    <row r="8" spans="1:5" x14ac:dyDescent="0.25">
      <c r="A8" s="45" t="s">
        <v>28</v>
      </c>
      <c r="B8" s="46">
        <v>0.27500000000000002</v>
      </c>
      <c r="C8" s="45">
        <v>10904.66</v>
      </c>
    </row>
    <row r="10" spans="1:5" ht="30" x14ac:dyDescent="0.25">
      <c r="A10" s="44" t="s">
        <v>29</v>
      </c>
      <c r="B10" s="44" t="s">
        <v>30</v>
      </c>
      <c r="C10" s="44"/>
      <c r="D10" s="44"/>
      <c r="E10" s="44" t="s">
        <v>25</v>
      </c>
    </row>
    <row r="11" spans="1:5" x14ac:dyDescent="0.25">
      <c r="A11" s="47" t="s">
        <v>31</v>
      </c>
      <c r="B11" s="45">
        <v>60000</v>
      </c>
      <c r="E11" s="43" t="s">
        <v>32</v>
      </c>
    </row>
    <row r="12" spans="1:5" x14ac:dyDescent="0.25">
      <c r="A12" s="47" t="s">
        <v>33</v>
      </c>
      <c r="B12" s="45">
        <v>2694.15</v>
      </c>
    </row>
    <row r="13" spans="1:5" x14ac:dyDescent="0.25">
      <c r="A13" s="47" t="s">
        <v>34</v>
      </c>
      <c r="B13" s="45">
        <v>88200</v>
      </c>
      <c r="E13" s="43" t="s">
        <v>35</v>
      </c>
    </row>
    <row r="14" spans="1:5" x14ac:dyDescent="0.25">
      <c r="A14" s="47" t="s">
        <v>36</v>
      </c>
      <c r="B14" s="45">
        <v>8429.73</v>
      </c>
      <c r="E14" s="43" t="s">
        <v>37</v>
      </c>
    </row>
    <row r="15" spans="1:5" x14ac:dyDescent="0.25">
      <c r="A15" s="47" t="s">
        <v>38</v>
      </c>
      <c r="B15" s="48">
        <v>9.5574999999999993E-2</v>
      </c>
    </row>
    <row r="17" spans="1:5" x14ac:dyDescent="0.25">
      <c r="A17" s="44" t="s">
        <v>39</v>
      </c>
      <c r="B17" s="44" t="s">
        <v>30</v>
      </c>
      <c r="C17" s="44"/>
      <c r="D17" s="44"/>
      <c r="E17" s="44" t="s">
        <v>25</v>
      </c>
    </row>
    <row r="18" spans="1:5" x14ac:dyDescent="0.25">
      <c r="A18" s="47" t="s">
        <v>40</v>
      </c>
      <c r="B18" s="46">
        <v>0.2</v>
      </c>
      <c r="E18" s="43" t="s">
        <v>41</v>
      </c>
    </row>
    <row r="19" spans="1:5" x14ac:dyDescent="0.25">
      <c r="A19" s="47" t="s">
        <v>42</v>
      </c>
      <c r="B19" s="45">
        <v>17640</v>
      </c>
      <c r="E19" s="43" t="s">
        <v>43</v>
      </c>
    </row>
    <row r="20" spans="1:5" x14ac:dyDescent="0.25">
      <c r="A20" s="47" t="s">
        <v>44</v>
      </c>
      <c r="B20" s="46">
        <v>0.12</v>
      </c>
      <c r="E20" s="43" t="s">
        <v>45</v>
      </c>
    </row>
    <row r="21" spans="1:5" x14ac:dyDescent="0.25">
      <c r="A21" s="47" t="s">
        <v>46</v>
      </c>
      <c r="B21" s="45">
        <v>2275.08</v>
      </c>
      <c r="E21" s="43" t="s">
        <v>47</v>
      </c>
    </row>
    <row r="22" spans="1:5" x14ac:dyDescent="0.25">
      <c r="A22" s="47" t="s">
        <v>48</v>
      </c>
      <c r="B22" s="45">
        <v>3561.5</v>
      </c>
      <c r="E22" s="43" t="s">
        <v>47</v>
      </c>
    </row>
    <row r="24" spans="1:5" ht="30" x14ac:dyDescent="0.25">
      <c r="A24" s="44" t="s">
        <v>49</v>
      </c>
      <c r="B24" s="44" t="s">
        <v>50</v>
      </c>
      <c r="C24" s="44" t="s">
        <v>23</v>
      </c>
      <c r="D24" s="44"/>
      <c r="E24" s="44" t="s">
        <v>25</v>
      </c>
    </row>
    <row r="25" spans="1:5" x14ac:dyDescent="0.25">
      <c r="A25" s="47" t="s">
        <v>51</v>
      </c>
      <c r="B25" s="49">
        <v>1621</v>
      </c>
      <c r="C25" s="50">
        <v>7.4999999999999997E-2</v>
      </c>
      <c r="E25" s="43" t="s">
        <v>52</v>
      </c>
    </row>
    <row r="26" spans="1:5" x14ac:dyDescent="0.25">
      <c r="A26" s="47" t="s">
        <v>53</v>
      </c>
      <c r="B26" s="49">
        <v>2902.84</v>
      </c>
      <c r="C26" s="50">
        <v>0.09</v>
      </c>
    </row>
    <row r="27" spans="1:5" x14ac:dyDescent="0.25">
      <c r="A27" s="47" t="s">
        <v>54</v>
      </c>
      <c r="B27" s="49">
        <v>4354.2700000000004</v>
      </c>
      <c r="C27" s="50">
        <v>0.12</v>
      </c>
    </row>
    <row r="28" spans="1:5" x14ac:dyDescent="0.25">
      <c r="A28" s="47" t="s">
        <v>55</v>
      </c>
      <c r="B28" s="49">
        <v>8475.5499999999993</v>
      </c>
      <c r="C28" s="50">
        <v>0.14000000000000001</v>
      </c>
    </row>
    <row r="34" spans="1:5" x14ac:dyDescent="0.25">
      <c r="A34" s="44" t="s">
        <v>56</v>
      </c>
      <c r="B34" s="44" t="s">
        <v>30</v>
      </c>
      <c r="C34" s="44"/>
      <c r="D34" s="44"/>
      <c r="E34" s="44"/>
    </row>
    <row r="35" spans="1:5" x14ac:dyDescent="0.25">
      <c r="A35" s="47" t="s">
        <v>57</v>
      </c>
      <c r="B35" s="51">
        <v>2026</v>
      </c>
    </row>
    <row r="36" spans="1:5" x14ac:dyDescent="0.25">
      <c r="A36" s="47" t="s">
        <v>58</v>
      </c>
      <c r="C36" s="52" t="s">
        <v>59</v>
      </c>
      <c r="E36" s="43" t="s">
        <v>60</v>
      </c>
    </row>
    <row r="40" spans="1:5" x14ac:dyDescent="0.25">
      <c r="A40" s="44" t="s">
        <v>61</v>
      </c>
      <c r="B40" s="44" t="s">
        <v>30</v>
      </c>
      <c r="C40" s="44"/>
      <c r="D40" s="44"/>
      <c r="E40" s="44" t="s">
        <v>62</v>
      </c>
    </row>
    <row r="41" spans="1:5" x14ac:dyDescent="0.25">
      <c r="A41" s="47" t="s">
        <v>63</v>
      </c>
      <c r="B41" s="53">
        <f>'Simulador IR'!$F$8+'Simulador IR'!$F$10</f>
        <v>0</v>
      </c>
    </row>
    <row r="42" spans="1:5" x14ac:dyDescent="0.25">
      <c r="A42" s="47" t="s">
        <v>64</v>
      </c>
      <c r="B42" s="53">
        <f>12*(MIN('Simulador IR'!$F$8/12,$B$25)*$C$25+MAX(0,MIN('Simulador IR'!$F$8/12,$B$26)-$B$25)*$C$26+MAX(0,MIN('Simulador IR'!$F$8/12,$B$27)-$B$26)*$C$27+MAX(0,MIN('Simulador IR'!$F$8/12,$B$28)-$B$27)*$C$28)</f>
        <v>0</v>
      </c>
      <c r="E42" s="43" t="s">
        <v>65</v>
      </c>
    </row>
    <row r="43" spans="1:5" x14ac:dyDescent="0.25">
      <c r="A43" s="47" t="s">
        <v>66</v>
      </c>
      <c r="B43" s="53">
        <f>IF(ISBLANK('Simulador IR'!$F$12),$B$42,'Simulador IR'!$F$12)</f>
        <v>0</v>
      </c>
      <c r="E43" s="43" t="s">
        <v>67</v>
      </c>
    </row>
    <row r="44" spans="1:5" x14ac:dyDescent="0.25">
      <c r="A44" s="47" t="s">
        <v>68</v>
      </c>
      <c r="B44" s="53">
        <f>'Simulador IR'!$F$14</f>
        <v>0</v>
      </c>
    </row>
    <row r="45" spans="1:5" x14ac:dyDescent="0.25">
      <c r="A45" s="47" t="s">
        <v>69</v>
      </c>
      <c r="B45" s="53">
        <f>$B$20*$B$41</f>
        <v>0</v>
      </c>
    </row>
    <row r="46" spans="1:5" x14ac:dyDescent="0.25">
      <c r="A46" s="47" t="s">
        <v>70</v>
      </c>
      <c r="B46" s="53">
        <f>IF($B$41&lt;=$B$11,$B$12,IF($B$41&lt;=$B$13,MAX(0,$B$14-$B$15*$B$41),0))</f>
        <v>2694.15</v>
      </c>
      <c r="E46" s="43" t="s">
        <v>71</v>
      </c>
    </row>
    <row r="47" spans="1:5" x14ac:dyDescent="0.25">
      <c r="A47" s="47" t="s">
        <v>72</v>
      </c>
      <c r="B47" s="53">
        <f>MAX(0,$B$41-MIN($B$18*$B$41,$B$19))</f>
        <v>0</v>
      </c>
    </row>
    <row r="48" spans="1:5" x14ac:dyDescent="0.25">
      <c r="A48" s="47" t="s">
        <v>73</v>
      </c>
      <c r="B48" s="53">
        <f>MAX(0,MAX(0,$B$47*$B$5-$C$5,$B$47*$B$6-$C$6,$B$47*$B$7-$C$7,$B$47*$B$8-$C$8)-$B$46)</f>
        <v>0</v>
      </c>
    </row>
    <row r="49" spans="1:5" x14ac:dyDescent="0.25">
      <c r="A49" s="47" t="s">
        <v>74</v>
      </c>
      <c r="B49" s="53">
        <f>MAX(0,$B$41-$B$43-$B$44)</f>
        <v>0</v>
      </c>
    </row>
    <row r="50" spans="1:5" x14ac:dyDescent="0.25">
      <c r="A50" s="47" t="s">
        <v>75</v>
      </c>
      <c r="B50" s="53">
        <f>MIN(($B$46+$C$5)/$B$5,($B$46+$C$6)/$B$6,($B$46+$C$7)/$B$7,($B$46+$C$8)/$B$8)</f>
        <v>48000</v>
      </c>
      <c r="E50" s="43" t="s">
        <v>76</v>
      </c>
    </row>
    <row r="51" spans="1:5" x14ac:dyDescent="0.25">
      <c r="A51" s="47" t="s">
        <v>77</v>
      </c>
      <c r="B51" s="53">
        <f>MAX(0,MIN($B$45,$B$49-$B$50))</f>
        <v>0</v>
      </c>
    </row>
    <row r="52" spans="1:5" x14ac:dyDescent="0.25">
      <c r="A52" s="47" t="s">
        <v>78</v>
      </c>
      <c r="B52" s="53">
        <f>'Simulador IR'!$F$16+'Simulador IR'!$F$18</f>
        <v>0</v>
      </c>
    </row>
    <row r="53" spans="1:5" x14ac:dyDescent="0.25">
      <c r="A53" s="47" t="s">
        <v>79</v>
      </c>
      <c r="B53" s="53">
        <f>MAX(0,$B$51-$B$52)</f>
        <v>0</v>
      </c>
    </row>
    <row r="54" spans="1:5" x14ac:dyDescent="0.25">
      <c r="A54" s="47" t="s">
        <v>80</v>
      </c>
      <c r="B54" s="53">
        <f>MAX(0,MAX(0,MAX(0,$B$49-MIN($B$45,MAX($B$51,$B$52)))*$B$5-$C$5,MAX(0,$B$49-MIN($B$45,MAX($B$51,$B$52)))*$B$6-$C$6,MAX(0,$B$49-MIN($B$45,MAX($B$51,$B$52)))*$B$7-$C$7,MAX(0,$B$49-MIN($B$45,MAX($B$51,$B$52)))*$B$8-$C$8)-$B$46)</f>
        <v>0</v>
      </c>
    </row>
    <row r="55" spans="1:5" x14ac:dyDescent="0.25">
      <c r="A55" s="54" t="s">
        <v>81</v>
      </c>
      <c r="B55" s="55">
        <f>IF(AND($B$53&gt;0,$B$54&lt;$B$48),ROUND($B$53,2),0)</f>
        <v>0</v>
      </c>
      <c r="E55" s="43" t="s">
        <v>82</v>
      </c>
    </row>
    <row r="56" spans="1:5" x14ac:dyDescent="0.25">
      <c r="A56" s="47" t="s">
        <v>83</v>
      </c>
      <c r="B56" s="56" t="str">
        <f>IF($B$55&gt;0,"",IF(C64=0,"Seu imposto já está zerado, então novos aportes não reduzem seu IR. Eles continuam valendo para formar sua reserva.",IF($B$54&gt;=$B$48,"Neste caso a declaração simplificada é mais vantajosa e novos aportes não reduzem seu IR. Eles continuam valendo para formar sua reserva.","")))</f>
        <v>Seu imposto já está zerado, então novos aportes não reduzem seu IR. Eles continuam valendo para formar sua reserva.</v>
      </c>
    </row>
    <row r="58" spans="1:5" ht="30" x14ac:dyDescent="0.25">
      <c r="A58" s="44" t="s">
        <v>84</v>
      </c>
      <c r="B58" s="44" t="s">
        <v>85</v>
      </c>
      <c r="C58" s="44" t="s">
        <v>86</v>
      </c>
      <c r="D58" s="44" t="s">
        <v>87</v>
      </c>
      <c r="E58" s="44"/>
    </row>
    <row r="59" spans="1:5" x14ac:dyDescent="0.25">
      <c r="A59" s="47" t="s">
        <v>88</v>
      </c>
      <c r="B59" s="53">
        <f>$B$49</f>
        <v>0</v>
      </c>
      <c r="C59" s="53">
        <f>MAX(0,$B$49-MIN($B$45,$B$52))</f>
        <v>0</v>
      </c>
      <c r="D59" s="53">
        <f>MAX(0,$B$49-MIN($B$45,$B$52+$B$55))</f>
        <v>0</v>
      </c>
    </row>
    <row r="60" spans="1:5" x14ac:dyDescent="0.25">
      <c r="A60" s="47" t="s">
        <v>89</v>
      </c>
      <c r="B60" s="53">
        <f>MAX(0,B59*$B$5-$C$5,B59*$B$6-$C$6,B59*$B$7-$C$7,B59*$B$8-$C$8)</f>
        <v>0</v>
      </c>
      <c r="C60" s="53">
        <f>MAX(0,C59*$B$5-$C$5,C59*$B$6-$C$6,C59*$B$7-$C$7,C59*$B$8-$C$8)</f>
        <v>0</v>
      </c>
      <c r="D60" s="53">
        <f>MAX(0,D59*$B$5-$C$5,D59*$B$6-$C$6,D59*$B$7-$C$7,D59*$B$8-$C$8)</f>
        <v>0</v>
      </c>
    </row>
    <row r="61" spans="1:5" x14ac:dyDescent="0.25">
      <c r="A61" s="47" t="s">
        <v>90</v>
      </c>
      <c r="B61" s="53">
        <f>MIN($B$46,B60)</f>
        <v>0</v>
      </c>
      <c r="C61" s="53">
        <f>MIN($B$46,C60)</f>
        <v>0</v>
      </c>
      <c r="D61" s="53">
        <f>MIN($B$46,D60)</f>
        <v>0</v>
      </c>
    </row>
    <row r="62" spans="1:5" x14ac:dyDescent="0.25">
      <c r="A62" s="47" t="s">
        <v>91</v>
      </c>
      <c r="B62" s="53">
        <f>B60-B61</f>
        <v>0</v>
      </c>
      <c r="C62" s="53">
        <f>C60-C61</f>
        <v>0</v>
      </c>
      <c r="D62" s="53">
        <f>D60-D61</f>
        <v>0</v>
      </c>
    </row>
    <row r="63" spans="1:5" x14ac:dyDescent="0.25">
      <c r="A63" s="47" t="s">
        <v>92</v>
      </c>
      <c r="B63" s="53">
        <f>$B$48</f>
        <v>0</v>
      </c>
      <c r="C63" s="53">
        <f>$B$48</f>
        <v>0</v>
      </c>
      <c r="D63" s="53">
        <f>$B$48</f>
        <v>0</v>
      </c>
    </row>
    <row r="64" spans="1:5" x14ac:dyDescent="0.25">
      <c r="A64" s="54" t="s">
        <v>93</v>
      </c>
      <c r="B64" s="53">
        <f>MIN(B62,B63)</f>
        <v>0</v>
      </c>
      <c r="C64" s="53">
        <f>MIN(C62,C63)</f>
        <v>0</v>
      </c>
      <c r="D64" s="53">
        <f>MIN(D62,D63)</f>
        <v>0</v>
      </c>
    </row>
    <row r="65" spans="1:4" x14ac:dyDescent="0.25">
      <c r="A65" s="47" t="s">
        <v>94</v>
      </c>
      <c r="B65" s="57" t="str">
        <f>IF(ABS(B62-B63)&lt;0.005,IF(B63=0,"Sem imposto nos dois modelos","Completa e simplificada empatam"),IF(B62&lt;B63,"Pela completa (simplificada: R$ "&amp;FIXED(B63,2)&amp;")","Pela simplificada (completa: R$ "&amp;FIXED(B62,2)&amp;")"))</f>
        <v>Sem imposto nos dois modelos</v>
      </c>
      <c r="C65" s="57" t="str">
        <f>IF(ABS(C62-C63)&lt;0.005,IF(C63=0,"Sem imposto nos dois modelos","Completa e simplificada empatam"),IF(C62&lt;C63,"Pela completa (simplificada: R$ "&amp;FIXED(C63,2)&amp;")","Pela simplificada (completa: R$ "&amp;FIXED(C62,2)&amp;")"))</f>
        <v>Sem imposto nos dois modelos</v>
      </c>
      <c r="D65" s="57" t="str">
        <f>IF(ABS(D62-D63)&lt;0.005,IF(D63=0,"Sem imposto nos dois modelos","Completa e simplificada empatam"),IF(D62&lt;D63,"Pela completa (simplificada: R$ "&amp;FIXED(D63,2)&amp;")","Pela simplificada (completa: R$ "&amp;FIXED(D62,2)&amp;")"))</f>
        <v>Sem imposto nos dois modelos</v>
      </c>
    </row>
    <row r="66" spans="1:4" x14ac:dyDescent="0.25">
      <c r="A66" s="54" t="s">
        <v>95</v>
      </c>
      <c r="B66" s="53">
        <f>$B$64-B64</f>
        <v>0</v>
      </c>
      <c r="C66" s="53">
        <f>$B$64-C64</f>
        <v>0</v>
      </c>
      <c r="D66" s="53">
        <f>$B$64-D64</f>
        <v>0</v>
      </c>
    </row>
  </sheetData>
  <sheetProtection algorithmName="SHA-512" hashValue="fi8Om7b6+8hXMuVnC8fBJh9iojPioTYlATgt3010Rg6N6qxJKrurnDRoklHZo+gnMIzISsaJsMEgqfREzUEQhA==" saltValue="J1NVx9Awo4bt3c6Fc6MYIw==" spinCount="100000" sheet="1" objects="1" scenarios="1" selectLockedCells="1" selectUnlockedCells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Simulador 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Cicero Rafael Barros Dias</dc:creator>
  <cp:lastModifiedBy>Celos - Moisés Paolazzi</cp:lastModifiedBy>
  <cp:revision>0</cp:revision>
  <cp:lastPrinted>2014-10-01T23:10:14Z</cp:lastPrinted>
  <dcterms:created xsi:type="dcterms:W3CDTF">2014-10-01T22:28:28Z</dcterms:created>
  <dcterms:modified xsi:type="dcterms:W3CDTF">2026-10-27T16:31:14Z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